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Actuals" sheetId="1" r:id="rId1"/>
  </sheets>
  <definedNames>
    <definedName name="\B" localSheetId="0">'Actuals'!#REF!</definedName>
    <definedName name="\H" localSheetId="0">'Actuals'!#REF!</definedName>
    <definedName name="\S" localSheetId="0">'Actuals'!#REF!</definedName>
    <definedName name="ESTIMATE95" localSheetId="0">'Actuals'!#REF!</definedName>
    <definedName name="MACROS" localSheetId="0">'Actuals'!#REF!</definedName>
    <definedName name="_xlnm.Print_Titles" localSheetId="0">'Actuals'!$1:$8</definedName>
  </definedNames>
  <calcPr fullCalcOnLoad="1"/>
</workbook>
</file>

<file path=xl/sharedStrings.xml><?xml version="1.0" encoding="utf-8"?>
<sst xmlns="http://schemas.openxmlformats.org/spreadsheetml/2006/main" count="73" uniqueCount="61">
  <si>
    <t>ST. THOMAS MORE PARISH - IOWA CITY, IOWA</t>
  </si>
  <si>
    <t xml:space="preserve">    BUDGET  </t>
  </si>
  <si>
    <t>Ordinary Envelopes</t>
  </si>
  <si>
    <t>Jul - Apr 05</t>
  </si>
  <si>
    <t>All Other Sources</t>
  </si>
  <si>
    <t>Other Parish Ministry Expenses</t>
  </si>
  <si>
    <t>Full 12 Months</t>
  </si>
  <si>
    <t>Loose  Basket Collection</t>
  </si>
  <si>
    <t>6/30/06</t>
  </si>
  <si>
    <t>6/30/05</t>
  </si>
  <si>
    <t>Year Ended</t>
  </si>
  <si>
    <t>Catholic Messenger Subsidy, net of collections</t>
  </si>
  <si>
    <t>BUDGET</t>
  </si>
  <si>
    <t>ACTUAL</t>
  </si>
  <si>
    <t>Actual</t>
  </si>
  <si>
    <t>Regina School Subsidy</t>
  </si>
  <si>
    <t>Building Fund Collections</t>
  </si>
  <si>
    <t>Expenses &amp; Other Disbursements</t>
  </si>
  <si>
    <t>Expenses:</t>
  </si>
  <si>
    <t>Total Expenses</t>
  </si>
  <si>
    <t>Other Disbursements</t>
  </si>
  <si>
    <t>Total Other Disbursements</t>
  </si>
  <si>
    <t>Total Expenses &amp; Other Disbursements</t>
  </si>
  <si>
    <t>Net Increase (Decrease) in Funds</t>
  </si>
  <si>
    <t>Income</t>
  </si>
  <si>
    <t>Total Income</t>
  </si>
  <si>
    <t>6/30/2015</t>
  </si>
  <si>
    <t>Interest on Bank Loan</t>
  </si>
  <si>
    <t>Building &amp; Grounds (insurance, maintenance &amp; repairs, utilities, etc.)</t>
  </si>
  <si>
    <t>Office Expenses (equipment, paper, postage, telephone, etc.)</t>
  </si>
  <si>
    <t>Religious Education &amp; Youth Ministry (excluding salaries &amp; benefits)</t>
  </si>
  <si>
    <t>Religious Education Tuition &amp; Confirmation Fees</t>
  </si>
  <si>
    <t>Bequests &amp; Memorials, Restricted &amp; Unrestricted</t>
  </si>
  <si>
    <t>Salaries &amp; Benefits, Priest &amp; Staff (full-time &amp; part-time)</t>
  </si>
  <si>
    <t>Bank &amp; Other Loan Payments</t>
  </si>
  <si>
    <t>All Parish Funds (Unaudited Cash Basis)</t>
  </si>
  <si>
    <t>Statement of Parish Operations</t>
  </si>
  <si>
    <t>Year Ending</t>
  </si>
  <si>
    <t>ST. THOMAS MORE CATHOLIC CHURCH -- CORALVILLE, IOWA</t>
  </si>
  <si>
    <t>6/30/2016</t>
  </si>
  <si>
    <t>Christmas, Easter &amp; Other Holy Day Envelopes</t>
  </si>
  <si>
    <t>Land, Building, Equipment Purchases</t>
  </si>
  <si>
    <t>Line 29</t>
  </si>
  <si>
    <t>Line 32</t>
  </si>
  <si>
    <t>Line 33</t>
  </si>
  <si>
    <t>Line 34</t>
  </si>
  <si>
    <t>Line 36</t>
  </si>
  <si>
    <t>Line 17</t>
  </si>
  <si>
    <t>Katie Schneider, Accounting Manager</t>
  </si>
  <si>
    <t>6/30/2017</t>
  </si>
  <si>
    <t>Annual Diocesan Appeal Shortfall</t>
  </si>
  <si>
    <t>Purchase Priest Residence</t>
  </si>
  <si>
    <t>Other, Scrip Inventory</t>
  </si>
  <si>
    <t>6/30/2018</t>
  </si>
  <si>
    <t>Submitted by:</t>
  </si>
  <si>
    <t>For the current fiscal year through December 2020</t>
  </si>
  <si>
    <t>6/30/2021</t>
  </si>
  <si>
    <t>Annual Diocesan Appeal Surplus</t>
  </si>
  <si>
    <t>Payroll Protectin Program+government loan forgiven</t>
  </si>
  <si>
    <t>Investments=interest, dividends, gains or (losses)</t>
  </si>
  <si>
    <t>As of 12/2020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</si>
</sst>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mmmm\ d\,\ yyyy"/>
    <numFmt numFmtId="167" formatCode="mmmm\-yy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1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name val="Bradley Hand ITC"/>
      <family val="4"/>
    </font>
    <font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Helv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Helv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10"/>
      <name val="Arial"/>
      <family val="2"/>
    </font>
    <font>
      <b/>
      <sz val="18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Helv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Helv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FF0000"/>
      <name val="Arial"/>
      <family val="2"/>
    </font>
    <font>
      <b/>
      <sz val="18"/>
      <color theme="3" tint="0.399980008602142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164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164" fontId="0" fillId="0" borderId="0" xfId="0" applyAlignment="1">
      <alignment/>
    </xf>
    <xf numFmtId="164" fontId="5" fillId="0" borderId="0" xfId="0" applyNumberFormat="1" applyFont="1" applyAlignment="1" applyProtection="1">
      <alignment horizontal="left"/>
      <protection/>
    </xf>
    <xf numFmtId="164" fontId="6" fillId="0" borderId="0" xfId="0" applyFont="1" applyAlignment="1">
      <alignment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5" fillId="0" borderId="0" xfId="0" applyNumberFormat="1" applyFont="1" applyAlignment="1" applyProtection="1">
      <alignment horizontal="center"/>
      <protection/>
    </xf>
    <xf numFmtId="164" fontId="5" fillId="0" borderId="0" xfId="0" applyNumberFormat="1" applyFont="1" applyAlignment="1" applyProtection="1" quotePrefix="1">
      <alignment horizontal="center"/>
      <protection/>
    </xf>
    <xf numFmtId="37" fontId="5" fillId="0" borderId="0" xfId="0" applyNumberFormat="1" applyFont="1" applyAlignment="1" applyProtection="1">
      <alignment horizontal="center"/>
      <protection/>
    </xf>
    <xf numFmtId="1" fontId="6" fillId="0" borderId="0" xfId="0" applyNumberFormat="1" applyFont="1" applyAlignment="1" applyProtection="1">
      <alignment/>
      <protection/>
    </xf>
    <xf numFmtId="42" fontId="6" fillId="0" borderId="0" xfId="44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 applyProtection="1">
      <alignment horizontal="right"/>
      <protection/>
    </xf>
    <xf numFmtId="37" fontId="6" fillId="0" borderId="10" xfId="0" applyNumberFormat="1" applyFont="1" applyBorder="1" applyAlignment="1" applyProtection="1">
      <alignment horizontal="right"/>
      <protection/>
    </xf>
    <xf numFmtId="37" fontId="6" fillId="0" borderId="0" xfId="0" applyNumberFormat="1" applyFont="1" applyBorder="1" applyAlignment="1" applyProtection="1">
      <alignment horizontal="right"/>
      <protection/>
    </xf>
    <xf numFmtId="37" fontId="6" fillId="0" borderId="10" xfId="0" applyNumberFormat="1" applyFont="1" applyBorder="1" applyAlignment="1" applyProtection="1">
      <alignment/>
      <protection/>
    </xf>
    <xf numFmtId="37" fontId="6" fillId="0" borderId="0" xfId="0" applyNumberFormat="1" applyFont="1" applyAlignment="1" applyProtection="1">
      <alignment horizontal="right"/>
      <protection/>
    </xf>
    <xf numFmtId="169" fontId="6" fillId="0" borderId="10" xfId="44" applyNumberFormat="1" applyFont="1" applyBorder="1" applyAlignment="1" applyProtection="1">
      <alignment/>
      <protection/>
    </xf>
    <xf numFmtId="169" fontId="6" fillId="0" borderId="0" xfId="44" applyNumberFormat="1" applyFont="1" applyAlignment="1" applyProtection="1">
      <alignment/>
      <protection/>
    </xf>
    <xf numFmtId="1" fontId="6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37" fontId="5" fillId="0" borderId="0" xfId="0" applyNumberFormat="1" applyFont="1" applyAlignment="1">
      <alignment horizontal="center"/>
    </xf>
    <xf numFmtId="167" fontId="5" fillId="0" borderId="0" xfId="0" applyNumberFormat="1" applyFont="1" applyAlignment="1" applyProtection="1" quotePrefix="1">
      <alignment horizontal="center"/>
      <protection/>
    </xf>
    <xf numFmtId="164" fontId="5" fillId="0" borderId="0" xfId="0" applyFont="1" applyAlignment="1">
      <alignment/>
    </xf>
    <xf numFmtId="164" fontId="6" fillId="0" borderId="0" xfId="0" applyNumberFormat="1" applyFont="1" applyAlignment="1" applyProtection="1">
      <alignment horizontal="right"/>
      <protection/>
    </xf>
    <xf numFmtId="42" fontId="6" fillId="0" borderId="0" xfId="44" applyNumberFormat="1" applyFont="1" applyAlignment="1">
      <alignment/>
    </xf>
    <xf numFmtId="164" fontId="6" fillId="0" borderId="0" xfId="0" applyNumberFormat="1" applyFont="1" applyBorder="1" applyAlignment="1" applyProtection="1">
      <alignment horizontal="right"/>
      <protection/>
    </xf>
    <xf numFmtId="37" fontId="6" fillId="0" borderId="0" xfId="0" applyNumberFormat="1" applyFont="1" applyBorder="1" applyAlignment="1" applyProtection="1">
      <alignment/>
      <protection/>
    </xf>
    <xf numFmtId="164" fontId="6" fillId="0" borderId="0" xfId="0" applyNumberFormat="1" applyFont="1" applyAlignment="1" applyProtection="1">
      <alignment horizontal="center"/>
      <protection/>
    </xf>
    <xf numFmtId="42" fontId="6" fillId="0" borderId="11" xfId="44" applyNumberFormat="1" applyFont="1" applyBorder="1" applyAlignment="1" applyProtection="1">
      <alignment/>
      <protection/>
    </xf>
    <xf numFmtId="37" fontId="6" fillId="0" borderId="0" xfId="44" applyNumberFormat="1" applyFont="1" applyAlignment="1" applyProtection="1">
      <alignment/>
      <protection/>
    </xf>
    <xf numFmtId="37" fontId="6" fillId="0" borderId="10" xfId="44" applyNumberFormat="1" applyFont="1" applyBorder="1" applyAlignment="1" applyProtection="1">
      <alignment/>
      <protection/>
    </xf>
    <xf numFmtId="169" fontId="6" fillId="0" borderId="11" xfId="44" applyNumberFormat="1" applyFont="1" applyBorder="1" applyAlignment="1" applyProtection="1">
      <alignment/>
      <protection/>
    </xf>
    <xf numFmtId="169" fontId="6" fillId="0" borderId="10" xfId="44" applyNumberFormat="1" applyFont="1" applyBorder="1" applyAlignment="1">
      <alignment/>
    </xf>
    <xf numFmtId="169" fontId="6" fillId="0" borderId="0" xfId="44" applyNumberFormat="1" applyFont="1" applyBorder="1" applyAlignment="1">
      <alignment/>
    </xf>
    <xf numFmtId="42" fontId="6" fillId="0" borderId="12" xfId="44" applyNumberFormat="1" applyFont="1" applyBorder="1" applyAlignment="1" applyProtection="1">
      <alignment/>
      <protection/>
    </xf>
    <xf numFmtId="42" fontId="6" fillId="0" borderId="0" xfId="44" applyNumberFormat="1" applyFont="1" applyBorder="1" applyAlignment="1" applyProtection="1">
      <alignment/>
      <protection/>
    </xf>
    <xf numFmtId="37" fontId="6" fillId="0" borderId="12" xfId="0" applyNumberFormat="1" applyFont="1" applyBorder="1" applyAlignment="1" applyProtection="1">
      <alignment/>
      <protection/>
    </xf>
    <xf numFmtId="164" fontId="6" fillId="0" borderId="0" xfId="0" applyFont="1" applyAlignment="1">
      <alignment vertical="center"/>
    </xf>
    <xf numFmtId="164" fontId="49" fillId="0" borderId="0" xfId="0" applyFont="1" applyAlignment="1">
      <alignment vertical="center"/>
    </xf>
    <xf numFmtId="164" fontId="6" fillId="0" borderId="0" xfId="0" applyFont="1" applyAlignment="1">
      <alignment horizontal="left" vertical="center"/>
    </xf>
    <xf numFmtId="164" fontId="6" fillId="0" borderId="0" xfId="0" applyFont="1" applyAlignment="1">
      <alignment horizontal="center" vertical="center"/>
    </xf>
    <xf numFmtId="164" fontId="6" fillId="0" borderId="0" xfId="0" applyFont="1" applyAlignment="1">
      <alignment horizontal="left"/>
    </xf>
    <xf numFmtId="164" fontId="7" fillId="0" borderId="0" xfId="0" applyFont="1" applyAlignment="1">
      <alignment/>
    </xf>
    <xf numFmtId="164" fontId="50" fillId="0" borderId="0" xfId="0" applyFont="1" applyAlignment="1">
      <alignment/>
    </xf>
    <xf numFmtId="164" fontId="8" fillId="0" borderId="0" xfId="0" applyFont="1" applyAlignment="1">
      <alignment/>
    </xf>
    <xf numFmtId="37" fontId="8" fillId="0" borderId="0" xfId="0" applyNumberFormat="1" applyFont="1" applyAlignment="1">
      <alignment/>
    </xf>
    <xf numFmtId="164" fontId="8" fillId="0" borderId="0" xfId="0" applyFont="1" applyAlignment="1">
      <alignment vertical="center"/>
    </xf>
    <xf numFmtId="42" fontId="6" fillId="0" borderId="0" xfId="44" applyNumberFormat="1" applyFont="1" applyFill="1" applyAlignment="1">
      <alignment/>
    </xf>
    <xf numFmtId="37" fontId="6" fillId="0" borderId="0" xfId="0" applyNumberFormat="1" applyFont="1" applyFill="1" applyAlignment="1" applyProtection="1">
      <alignment/>
      <protection/>
    </xf>
    <xf numFmtId="37" fontId="6" fillId="0" borderId="10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84"/>
  <sheetViews>
    <sheetView tabSelected="1" zoomScale="60" zoomScaleNormal="60" zoomScaleSheetLayoutView="55" workbookViewId="0" topLeftCell="A2">
      <selection activeCell="X33" sqref="X33"/>
    </sheetView>
  </sheetViews>
  <sheetFormatPr defaultColWidth="11.4453125" defaultRowHeight="15.75"/>
  <cols>
    <col min="1" max="1" width="4.6640625" style="2" customWidth="1"/>
    <col min="2" max="2" width="55.88671875" style="2" customWidth="1"/>
    <col min="3" max="3" width="20.77734375" style="2" customWidth="1"/>
    <col min="4" max="4" width="23.10546875" style="2" bestFit="1" customWidth="1"/>
    <col min="5" max="5" width="23.10546875" style="2" customWidth="1"/>
    <col min="6" max="7" width="23.10546875" style="2" hidden="1" customWidth="1"/>
    <col min="8" max="8" width="22.3359375" style="2" hidden="1" customWidth="1"/>
    <col min="9" max="9" width="20.77734375" style="2" hidden="1" customWidth="1"/>
    <col min="10" max="10" width="10.77734375" style="2" customWidth="1"/>
    <col min="11" max="11" width="9.77734375" style="2" hidden="1" customWidth="1"/>
    <col min="12" max="14" width="15.77734375" style="2" hidden="1" customWidth="1"/>
    <col min="15" max="15" width="23.4453125" style="2" hidden="1" customWidth="1"/>
    <col min="16" max="19" width="0" style="2" hidden="1" customWidth="1"/>
    <col min="20" max="20" width="13.21484375" style="2" hidden="1" customWidth="1"/>
    <col min="21" max="16384" width="11.4453125" style="2" customWidth="1"/>
  </cols>
  <sheetData>
    <row r="1" ht="23.25">
      <c r="A1" s="1" t="s">
        <v>38</v>
      </c>
    </row>
    <row r="2" ht="23.25">
      <c r="A2" s="1" t="s">
        <v>36</v>
      </c>
    </row>
    <row r="3" ht="23.25">
      <c r="A3" s="1" t="s">
        <v>35</v>
      </c>
    </row>
    <row r="4" ht="23.25">
      <c r="A4" s="1" t="s">
        <v>55</v>
      </c>
    </row>
    <row r="5" ht="23.25">
      <c r="A5" s="3" t="s">
        <v>54</v>
      </c>
    </row>
    <row r="6" spans="1:13" ht="23.25">
      <c r="A6" s="2" t="s">
        <v>48</v>
      </c>
      <c r="B6" s="1"/>
      <c r="D6" s="4" t="s">
        <v>12</v>
      </c>
      <c r="E6" s="4" t="s">
        <v>14</v>
      </c>
      <c r="F6" s="4" t="s">
        <v>14</v>
      </c>
      <c r="G6" s="4" t="s">
        <v>14</v>
      </c>
      <c r="H6" s="4" t="s">
        <v>14</v>
      </c>
      <c r="I6" s="4" t="s">
        <v>14</v>
      </c>
      <c r="J6" s="4"/>
      <c r="K6" s="4"/>
      <c r="L6" s="5" t="s">
        <v>13</v>
      </c>
      <c r="M6" s="5" t="s">
        <v>13</v>
      </c>
    </row>
    <row r="7" spans="2:13" ht="23.25">
      <c r="B7" s="1"/>
      <c r="D7" s="4" t="s">
        <v>37</v>
      </c>
      <c r="E7" s="4" t="s">
        <v>37</v>
      </c>
      <c r="F7" s="4" t="s">
        <v>10</v>
      </c>
      <c r="G7" s="4" t="s">
        <v>37</v>
      </c>
      <c r="H7" s="4" t="s">
        <v>10</v>
      </c>
      <c r="I7" s="4" t="s">
        <v>10</v>
      </c>
      <c r="J7" s="4"/>
      <c r="K7" s="4"/>
      <c r="L7" s="4" t="s">
        <v>10</v>
      </c>
      <c r="M7" s="4" t="s">
        <v>10</v>
      </c>
    </row>
    <row r="8" spans="1:14" ht="23.25">
      <c r="A8" s="1"/>
      <c r="C8" s="6"/>
      <c r="D8" s="7" t="s">
        <v>56</v>
      </c>
      <c r="E8" s="7" t="s">
        <v>56</v>
      </c>
      <c r="F8" s="7" t="s">
        <v>53</v>
      </c>
      <c r="G8" s="7" t="s">
        <v>49</v>
      </c>
      <c r="H8" s="7" t="s">
        <v>39</v>
      </c>
      <c r="I8" s="7" t="s">
        <v>26</v>
      </c>
      <c r="J8" s="7"/>
      <c r="K8" s="7"/>
      <c r="L8" s="7" t="s">
        <v>8</v>
      </c>
      <c r="M8" s="7" t="s">
        <v>9</v>
      </c>
      <c r="N8" s="7" t="s">
        <v>6</v>
      </c>
    </row>
    <row r="9" spans="1:14" ht="23.25">
      <c r="A9" s="1"/>
      <c r="C9" s="6"/>
      <c r="D9" s="6"/>
      <c r="E9" s="6" t="s">
        <v>60</v>
      </c>
      <c r="F9" s="6"/>
      <c r="G9" s="6"/>
      <c r="H9" s="6"/>
      <c r="I9" s="6"/>
      <c r="J9" s="8"/>
      <c r="K9" s="8"/>
      <c r="L9" s="6"/>
      <c r="M9" s="6"/>
      <c r="N9" s="7"/>
    </row>
    <row r="10" spans="1:20" ht="23.25">
      <c r="A10" s="1" t="s">
        <v>24</v>
      </c>
      <c r="C10" s="6"/>
      <c r="D10" s="6"/>
      <c r="E10" s="6"/>
      <c r="F10" s="6"/>
      <c r="G10" s="6"/>
      <c r="H10" s="6"/>
      <c r="I10" s="6"/>
      <c r="J10" s="8"/>
      <c r="K10" s="8"/>
      <c r="L10" s="6"/>
      <c r="M10" s="6"/>
      <c r="N10" s="7"/>
      <c r="O10" s="2" t="s">
        <v>47</v>
      </c>
      <c r="P10" s="2" t="s">
        <v>42</v>
      </c>
      <c r="Q10" s="2" t="s">
        <v>43</v>
      </c>
      <c r="R10" s="2" t="s">
        <v>44</v>
      </c>
      <c r="S10" s="2" t="s">
        <v>45</v>
      </c>
      <c r="T10" s="2" t="s">
        <v>46</v>
      </c>
    </row>
    <row r="11" spans="2:20" ht="23.25">
      <c r="B11" s="3" t="s">
        <v>2</v>
      </c>
      <c r="C11" s="9"/>
      <c r="D11" s="10">
        <v>772400</v>
      </c>
      <c r="E11" s="10">
        <v>413419</v>
      </c>
      <c r="F11" s="10">
        <f>752809</f>
        <v>752809</v>
      </c>
      <c r="G11" s="10">
        <v>709224</v>
      </c>
      <c r="H11" s="10">
        <v>689398</v>
      </c>
      <c r="I11" s="10">
        <v>697086</v>
      </c>
      <c r="J11" s="10"/>
      <c r="K11" s="10"/>
      <c r="L11" s="10">
        <v>369249</v>
      </c>
      <c r="M11" s="10">
        <v>335259</v>
      </c>
      <c r="N11" s="11">
        <v>343000</v>
      </c>
      <c r="O11" s="2">
        <v>250</v>
      </c>
      <c r="P11" s="2">
        <v>38227.04</v>
      </c>
      <c r="Q11" s="2">
        <v>426.23</v>
      </c>
      <c r="R11" s="2">
        <v>10327.55</v>
      </c>
      <c r="S11" s="2">
        <v>4700</v>
      </c>
      <c r="T11" s="2">
        <v>8464.01</v>
      </c>
    </row>
    <row r="12" spans="2:20" ht="23.25">
      <c r="B12" s="3" t="s">
        <v>7</v>
      </c>
      <c r="C12" s="9"/>
      <c r="D12" s="11">
        <v>51600</v>
      </c>
      <c r="E12" s="11">
        <v>18497</v>
      </c>
      <c r="F12" s="11">
        <f>73054</f>
        <v>73054</v>
      </c>
      <c r="G12" s="11">
        <v>62837</v>
      </c>
      <c r="H12" s="11">
        <v>63405</v>
      </c>
      <c r="I12" s="11">
        <v>59601</v>
      </c>
      <c r="J12" s="11"/>
      <c r="K12" s="11"/>
      <c r="L12" s="11">
        <v>22809</v>
      </c>
      <c r="M12" s="11">
        <v>21646</v>
      </c>
      <c r="N12" s="11">
        <v>23000</v>
      </c>
      <c r="O12" s="2">
        <v>1416</v>
      </c>
      <c r="P12" s="2">
        <v>116655.79</v>
      </c>
      <c r="Q12" s="2">
        <v>2729.4</v>
      </c>
      <c r="R12" s="2">
        <v>2849.72</v>
      </c>
      <c r="S12" s="2">
        <v>3198.06</v>
      </c>
      <c r="T12" s="2">
        <v>5820.22</v>
      </c>
    </row>
    <row r="13" spans="2:20" ht="23.25">
      <c r="B13" s="3" t="s">
        <v>40</v>
      </c>
      <c r="C13" s="9"/>
      <c r="D13" s="11">
        <v>26000</v>
      </c>
      <c r="E13" s="11">
        <v>15932</v>
      </c>
      <c r="F13" s="11">
        <f>24498</f>
        <v>24498</v>
      </c>
      <c r="G13" s="11">
        <v>24607</v>
      </c>
      <c r="H13" s="11">
        <v>22613</v>
      </c>
      <c r="I13" s="11">
        <v>23441</v>
      </c>
      <c r="J13" s="11"/>
      <c r="K13" s="11"/>
      <c r="L13" s="11">
        <v>7602</v>
      </c>
      <c r="M13" s="11">
        <v>8572</v>
      </c>
      <c r="N13" s="11">
        <v>9500</v>
      </c>
      <c r="O13" s="2">
        <v>6473</v>
      </c>
      <c r="P13" s="2">
        <v>46400</v>
      </c>
      <c r="Q13" s="2">
        <v>1361.02</v>
      </c>
      <c r="R13" s="2">
        <v>1333.79</v>
      </c>
      <c r="S13" s="2">
        <v>10136.8</v>
      </c>
      <c r="T13" s="2">
        <v>14797.35</v>
      </c>
    </row>
    <row r="14" spans="2:20" ht="23.25">
      <c r="B14" s="3" t="s">
        <v>31</v>
      </c>
      <c r="C14" s="9"/>
      <c r="D14" s="11">
        <v>51000</v>
      </c>
      <c r="E14" s="11">
        <f>10365+6497.5+1270+45</f>
        <v>18177.5</v>
      </c>
      <c r="F14" s="11">
        <f>35665</f>
        <v>35665</v>
      </c>
      <c r="G14" s="11">
        <v>50158</v>
      </c>
      <c r="H14" s="11">
        <v>31738</v>
      </c>
      <c r="I14" s="11">
        <v>32015</v>
      </c>
      <c r="J14" s="11"/>
      <c r="K14" s="11"/>
      <c r="L14" s="11">
        <f>13145+10808</f>
        <v>23953</v>
      </c>
      <c r="M14" s="11">
        <f>14430+10558</f>
        <v>24988</v>
      </c>
      <c r="N14" s="11">
        <v>16000</v>
      </c>
      <c r="O14" s="2">
        <v>2959.71</v>
      </c>
      <c r="P14" s="2">
        <v>19672</v>
      </c>
      <c r="Q14" s="2">
        <v>33208.4</v>
      </c>
      <c r="R14" s="2">
        <v>9081.22</v>
      </c>
      <c r="S14" s="2">
        <v>2595.18</v>
      </c>
      <c r="T14" s="2">
        <v>5243.21</v>
      </c>
    </row>
    <row r="15" spans="2:20" ht="23.25">
      <c r="B15" s="3" t="s">
        <v>16</v>
      </c>
      <c r="C15" s="9"/>
      <c r="D15" s="11">
        <v>850000</v>
      </c>
      <c r="E15" s="11">
        <f>523112</f>
        <v>523112</v>
      </c>
      <c r="F15" s="11">
        <f>108496+197691</f>
        <v>306187</v>
      </c>
      <c r="G15" s="11">
        <v>456102</v>
      </c>
      <c r="H15" s="11">
        <v>502876</v>
      </c>
      <c r="I15" s="11">
        <v>257421</v>
      </c>
      <c r="J15" s="11"/>
      <c r="K15" s="11"/>
      <c r="L15" s="11"/>
      <c r="M15" s="11"/>
      <c r="N15" s="11"/>
      <c r="O15" s="2">
        <v>2187.29</v>
      </c>
      <c r="P15" s="2">
        <v>3033</v>
      </c>
      <c r="Q15" s="2">
        <v>31476.3</v>
      </c>
      <c r="R15" s="2">
        <v>785</v>
      </c>
      <c r="S15" s="2">
        <v>-332.29</v>
      </c>
      <c r="T15" s="2">
        <f>SUM(T11:T14)</f>
        <v>34324.79</v>
      </c>
    </row>
    <row r="16" spans="2:14" ht="23.25">
      <c r="B16" s="3" t="s">
        <v>57</v>
      </c>
      <c r="C16" s="9"/>
      <c r="D16" s="11">
        <v>15000</v>
      </c>
      <c r="E16" s="11">
        <v>15131</v>
      </c>
      <c r="F16" s="11"/>
      <c r="G16" s="11"/>
      <c r="H16" s="11"/>
      <c r="I16" s="11"/>
      <c r="J16" s="11"/>
      <c r="K16" s="11"/>
      <c r="L16" s="11"/>
      <c r="M16" s="11"/>
      <c r="N16" s="11"/>
    </row>
    <row r="17" spans="2:14" ht="23.25">
      <c r="B17" s="3" t="s">
        <v>59</v>
      </c>
      <c r="C17" s="9"/>
      <c r="D17" s="11">
        <v>10300</v>
      </c>
      <c r="E17" s="11">
        <f>10523.97+4947.58+33281.48</f>
        <v>48753.03</v>
      </c>
      <c r="F17" s="11"/>
      <c r="G17" s="11"/>
      <c r="H17" s="11"/>
      <c r="I17" s="11"/>
      <c r="J17" s="11"/>
      <c r="K17" s="11"/>
      <c r="L17" s="11"/>
      <c r="M17" s="11"/>
      <c r="N17" s="11"/>
    </row>
    <row r="18" spans="2:14" ht="23.25">
      <c r="B18" s="3" t="s">
        <v>58</v>
      </c>
      <c r="C18" s="9"/>
      <c r="D18" s="11">
        <v>78000</v>
      </c>
      <c r="E18" s="11">
        <v>0</v>
      </c>
      <c r="F18" s="11">
        <v>241994</v>
      </c>
      <c r="G18" s="11"/>
      <c r="H18" s="11"/>
      <c r="I18" s="11"/>
      <c r="J18" s="11"/>
      <c r="K18" s="11"/>
      <c r="L18" s="11"/>
      <c r="M18" s="11"/>
      <c r="N18" s="11"/>
    </row>
    <row r="19" spans="2:19" ht="23.25">
      <c r="B19" s="3" t="s">
        <v>32</v>
      </c>
      <c r="C19" s="9"/>
      <c r="D19" s="11">
        <v>1000</v>
      </c>
      <c r="E19" s="11">
        <v>600</v>
      </c>
      <c r="F19" s="11">
        <v>0</v>
      </c>
      <c r="G19" s="11">
        <f>1025+1009+3713</f>
        <v>5747</v>
      </c>
      <c r="H19" s="11">
        <v>620</v>
      </c>
      <c r="I19" s="11">
        <v>12338</v>
      </c>
      <c r="J19" s="11"/>
      <c r="K19" s="11"/>
      <c r="L19" s="11">
        <v>0</v>
      </c>
      <c r="M19" s="11">
        <v>0</v>
      </c>
      <c r="N19" s="11"/>
      <c r="O19" s="2">
        <v>3587.4</v>
      </c>
      <c r="P19" s="2">
        <v>8388</v>
      </c>
      <c r="Q19" s="2">
        <v>14627</v>
      </c>
      <c r="R19" s="2">
        <v>3936.22</v>
      </c>
      <c r="S19" s="2">
        <v>510.1</v>
      </c>
    </row>
    <row r="20" spans="2:19" ht="23.25">
      <c r="B20" s="3" t="s">
        <v>4</v>
      </c>
      <c r="C20" s="12"/>
      <c r="D20" s="13">
        <v>17700</v>
      </c>
      <c r="E20" s="13">
        <f>2650+3385+750</f>
        <v>6785</v>
      </c>
      <c r="F20" s="13">
        <f>350+2238+13457+6019+3478+1565+2970+12152+902</f>
        <v>43131</v>
      </c>
      <c r="G20" s="13">
        <f>1503+21469+2350+174+1462+5246+840+4447+1614+2241+14844-44</f>
        <v>56146</v>
      </c>
      <c r="H20" s="13">
        <v>32522</v>
      </c>
      <c r="I20" s="13">
        <v>38770</v>
      </c>
      <c r="J20" s="14"/>
      <c r="K20" s="14"/>
      <c r="L20" s="15">
        <f>75+1300+600+9302+1700+107</f>
        <v>13084</v>
      </c>
      <c r="M20" s="15">
        <f>1535+325+245+4296+8339+1700+113</f>
        <v>16553</v>
      </c>
      <c r="N20" s="13">
        <f>1000+1500+800+12000+8000+1000+200</f>
        <v>24500</v>
      </c>
      <c r="O20" s="2">
        <v>692</v>
      </c>
      <c r="P20" s="2">
        <v>5849</v>
      </c>
      <c r="Q20" s="2">
        <v>23047.15</v>
      </c>
      <c r="R20" s="2">
        <v>2129.7</v>
      </c>
      <c r="S20" s="2">
        <v>7113.35</v>
      </c>
    </row>
    <row r="21" spans="2:19" ht="23.25">
      <c r="B21" s="3"/>
      <c r="C21" s="12"/>
      <c r="D21" s="16"/>
      <c r="E21" s="16"/>
      <c r="F21" s="16"/>
      <c r="G21" s="16"/>
      <c r="H21" s="16"/>
      <c r="I21" s="16"/>
      <c r="J21" s="16"/>
      <c r="K21" s="16"/>
      <c r="L21" s="11"/>
      <c r="M21" s="11"/>
      <c r="N21" s="16"/>
      <c r="O21" s="2">
        <v>104.1</v>
      </c>
      <c r="P21" s="2">
        <v>18347</v>
      </c>
      <c r="Q21" s="2">
        <v>2505.78</v>
      </c>
      <c r="R21" s="2">
        <v>6351.86</v>
      </c>
      <c r="S21" s="2">
        <v>944.03</v>
      </c>
    </row>
    <row r="22" spans="2:19" ht="23.25">
      <c r="B22" s="2" t="s">
        <v>25</v>
      </c>
      <c r="C22" s="9"/>
      <c r="D22" s="17">
        <f>SUM(D11:D20)</f>
        <v>1873000</v>
      </c>
      <c r="E22" s="17">
        <f>SUM(E11:E21)</f>
        <v>1060406.53</v>
      </c>
      <c r="F22" s="17">
        <f>SUM(F11:F21)</f>
        <v>1477338</v>
      </c>
      <c r="G22" s="17">
        <f>SUM(G11:G20)</f>
        <v>1364821</v>
      </c>
      <c r="H22" s="17">
        <f>SUM(H11:H20)</f>
        <v>1343172</v>
      </c>
      <c r="I22" s="17">
        <f>SUM(I11:I20)</f>
        <v>1120672</v>
      </c>
      <c r="J22" s="18"/>
      <c r="K22" s="18"/>
      <c r="L22" s="18">
        <f>SUM(L11:L20)</f>
        <v>436697</v>
      </c>
      <c r="M22" s="18">
        <f>SUM(M11:M20)</f>
        <v>407018</v>
      </c>
      <c r="N22" s="11">
        <f>SUM(N11:N20)</f>
        <v>416000</v>
      </c>
      <c r="O22" s="2">
        <v>0</v>
      </c>
      <c r="P22" s="2">
        <v>4860</v>
      </c>
      <c r="Q22" s="2">
        <f>SUM(Q11:Q21)</f>
        <v>109381.28</v>
      </c>
      <c r="R22" s="2">
        <f>SUM(R11:R21)</f>
        <v>36795.06</v>
      </c>
      <c r="S22" s="2">
        <v>21790.6</v>
      </c>
    </row>
    <row r="23" spans="3:19" ht="23.25">
      <c r="C23" s="9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2">
        <v>5903.08</v>
      </c>
      <c r="P23" s="2">
        <v>90307</v>
      </c>
      <c r="S23" s="2">
        <f>SUM(S11:S22)</f>
        <v>50655.829999999994</v>
      </c>
    </row>
    <row r="24" spans="2:14" ht="23.25" hidden="1">
      <c r="B24" s="1" t="s">
        <v>0</v>
      </c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2:14" ht="23.25" hidden="1">
      <c r="B25" s="1" t="str">
        <f>A2</f>
        <v>Statement of Parish Operations</v>
      </c>
      <c r="C25" s="19"/>
      <c r="D25" s="20"/>
      <c r="E25" s="20"/>
      <c r="F25" s="20"/>
      <c r="G25" s="20"/>
      <c r="H25" s="20"/>
      <c r="I25" s="20"/>
      <c r="J25" s="20"/>
      <c r="K25" s="20"/>
      <c r="M25" s="20"/>
      <c r="N25" s="20"/>
    </row>
    <row r="26" spans="2:14" ht="23.25" hidden="1">
      <c r="B26" s="1" t="str">
        <f>A4</f>
        <v>For the current fiscal year through December 2020</v>
      </c>
      <c r="C26" s="19"/>
      <c r="D26" s="20"/>
      <c r="E26" s="20"/>
      <c r="F26" s="20"/>
      <c r="G26" s="20"/>
      <c r="H26" s="20"/>
      <c r="I26" s="20"/>
      <c r="J26" s="20"/>
      <c r="K26" s="20"/>
      <c r="M26" s="20"/>
      <c r="N26" s="20"/>
    </row>
    <row r="27" spans="3:14" ht="23.25" hidden="1">
      <c r="C27" s="4"/>
      <c r="D27" s="21"/>
      <c r="E27" s="21"/>
      <c r="F27" s="21"/>
      <c r="G27" s="21"/>
      <c r="H27" s="21"/>
      <c r="I27" s="21"/>
      <c r="J27" s="21"/>
      <c r="K27" s="21"/>
      <c r="L27" s="22"/>
      <c r="M27" s="6"/>
      <c r="N27" s="6"/>
    </row>
    <row r="28" spans="3:14" ht="23.25" hidden="1">
      <c r="C28" s="6"/>
      <c r="D28" s="8"/>
      <c r="E28" s="8"/>
      <c r="F28" s="8"/>
      <c r="G28" s="8"/>
      <c r="H28" s="8"/>
      <c r="I28" s="8"/>
      <c r="J28" s="8"/>
      <c r="K28" s="8"/>
      <c r="L28" s="6" t="e">
        <f>#REF!</f>
        <v>#REF!</v>
      </c>
      <c r="M28" s="6" t="s">
        <v>1</v>
      </c>
      <c r="N28" s="6" t="e">
        <f>#REF!</f>
        <v>#REF!</v>
      </c>
    </row>
    <row r="29" spans="3:14" ht="23.25" hidden="1">
      <c r="C29" s="6"/>
      <c r="D29" s="8"/>
      <c r="E29" s="8"/>
      <c r="F29" s="8"/>
      <c r="G29" s="8"/>
      <c r="H29" s="8"/>
      <c r="I29" s="8"/>
      <c r="J29" s="8"/>
      <c r="K29" s="8"/>
      <c r="L29" s="6" t="str">
        <f>L8</f>
        <v>6/30/06</v>
      </c>
      <c r="M29" s="6" t="s">
        <v>3</v>
      </c>
      <c r="N29" s="6" t="str">
        <f>N8</f>
        <v>Full 12 Months</v>
      </c>
    </row>
    <row r="30" spans="1:16" ht="23.25">
      <c r="A30" s="1" t="s">
        <v>17</v>
      </c>
      <c r="C30" s="6"/>
      <c r="D30" s="8"/>
      <c r="E30" s="8"/>
      <c r="F30" s="8"/>
      <c r="G30" s="8"/>
      <c r="H30" s="8"/>
      <c r="I30" s="8"/>
      <c r="J30" s="8"/>
      <c r="K30" s="8"/>
      <c r="L30" s="6"/>
      <c r="M30" s="6"/>
      <c r="N30" s="6"/>
      <c r="O30" s="2">
        <v>757.65</v>
      </c>
      <c r="P30" s="2">
        <v>3914.21</v>
      </c>
    </row>
    <row r="31" spans="1:16" ht="23.25">
      <c r="A31" s="1"/>
      <c r="B31" s="23" t="s">
        <v>18</v>
      </c>
      <c r="C31" s="6"/>
      <c r="D31" s="8"/>
      <c r="E31" s="8"/>
      <c r="F31" s="8"/>
      <c r="G31" s="8"/>
      <c r="H31" s="8"/>
      <c r="I31" s="8"/>
      <c r="J31" s="8"/>
      <c r="K31" s="8"/>
      <c r="L31" s="6"/>
      <c r="M31" s="6"/>
      <c r="N31" s="6"/>
      <c r="O31" s="2">
        <v>5242</v>
      </c>
      <c r="P31" s="2">
        <v>518.36</v>
      </c>
    </row>
    <row r="32" spans="1:16" ht="23.25">
      <c r="A32" s="24"/>
      <c r="B32" s="3" t="s">
        <v>33</v>
      </c>
      <c r="C32" s="19"/>
      <c r="D32" s="48">
        <v>455200</v>
      </c>
      <c r="E32" s="48">
        <f>21682+60843+36373+11937+1934.16+8041+53615</f>
        <v>194425.16</v>
      </c>
      <c r="F32" s="48">
        <v>404927</v>
      </c>
      <c r="G32" s="25">
        <f>39038+114838+52664+20277+5314+10076+2361+1731+519+1582+91645+1076+20899</f>
        <v>362020</v>
      </c>
      <c r="H32" s="25">
        <v>356171</v>
      </c>
      <c r="I32" s="25">
        <v>360818</v>
      </c>
      <c r="J32" s="25"/>
      <c r="K32" s="25"/>
      <c r="L32" s="25">
        <f>174322+48260</f>
        <v>222582</v>
      </c>
      <c r="M32" s="25">
        <v>203900</v>
      </c>
      <c r="N32" s="20">
        <f>173500+50200</f>
        <v>223700</v>
      </c>
      <c r="O32" s="2">
        <v>1400</v>
      </c>
      <c r="P32" s="2">
        <f>SUM(P11:P31)</f>
        <v>356171.39999999997</v>
      </c>
    </row>
    <row r="33" spans="1:15" ht="23.25">
      <c r="A33" s="26"/>
      <c r="B33" s="2" t="s">
        <v>15</v>
      </c>
      <c r="C33" s="9"/>
      <c r="D33" s="11">
        <v>308600</v>
      </c>
      <c r="E33" s="11">
        <v>154300</v>
      </c>
      <c r="F33" s="11">
        <v>271487</v>
      </c>
      <c r="G33" s="11">
        <v>263304</v>
      </c>
      <c r="H33" s="11">
        <v>250584</v>
      </c>
      <c r="I33" s="11">
        <v>227796</v>
      </c>
      <c r="J33" s="11"/>
      <c r="K33" s="11"/>
      <c r="L33" s="11">
        <f>125580+15900</f>
        <v>141480</v>
      </c>
      <c r="M33" s="11">
        <f>122500+15500</f>
        <v>138000</v>
      </c>
      <c r="N33" s="11">
        <f>125500+16000</f>
        <v>141500</v>
      </c>
      <c r="O33" s="2">
        <v>1549.4</v>
      </c>
    </row>
    <row r="34" spans="1:15" ht="23.25">
      <c r="A34" s="26"/>
      <c r="B34" s="2" t="s">
        <v>27</v>
      </c>
      <c r="C34" s="9"/>
      <c r="D34" s="11">
        <v>0</v>
      </c>
      <c r="E34" s="11">
        <v>0</v>
      </c>
      <c r="F34" s="11"/>
      <c r="G34" s="11">
        <v>35450</v>
      </c>
      <c r="H34" s="11">
        <v>50070</v>
      </c>
      <c r="I34" s="11">
        <v>54920</v>
      </c>
      <c r="J34" s="11"/>
      <c r="K34" s="11"/>
      <c r="L34" s="11"/>
      <c r="M34" s="11"/>
      <c r="N34" s="11"/>
      <c r="O34" s="2">
        <f>SUM(O11:O33)</f>
        <v>32521.630000000005</v>
      </c>
    </row>
    <row r="35" spans="1:14" ht="23.25">
      <c r="A35" s="26"/>
      <c r="B35" s="2" t="s">
        <v>28</v>
      </c>
      <c r="C35" s="9"/>
      <c r="D35" s="49">
        <v>97500</v>
      </c>
      <c r="E35" s="49">
        <f>186+1867+11583+1369+4420+3718+9692+26604</f>
        <v>59439</v>
      </c>
      <c r="F35" s="49"/>
      <c r="G35" s="11">
        <f>3205+1590+28686+6352+14057+15063+23761</f>
        <v>92714</v>
      </c>
      <c r="H35" s="11">
        <v>109381</v>
      </c>
      <c r="I35" s="11">
        <v>129679</v>
      </c>
      <c r="J35" s="11"/>
      <c r="K35" s="11"/>
      <c r="L35" s="20">
        <f>1117+28262+2109+1920+6702+3740</f>
        <v>43850</v>
      </c>
      <c r="M35" s="20">
        <f>1106+25349+2604+1185+6776+4928</f>
        <v>41948</v>
      </c>
      <c r="N35" s="11">
        <f>1000+25000+1500+1600+7500+3600</f>
        <v>40200</v>
      </c>
    </row>
    <row r="36" spans="1:14" ht="23.25">
      <c r="A36" s="26"/>
      <c r="B36" s="2" t="s">
        <v>29</v>
      </c>
      <c r="C36" s="9"/>
      <c r="D36" s="49">
        <v>49800</v>
      </c>
      <c r="E36" s="49">
        <f>5623+578+1155+2262+225+5307.37+2297+7.71+207</f>
        <v>17662.079999999998</v>
      </c>
      <c r="F36" s="49"/>
      <c r="G36" s="11">
        <f>12036+2421+3152+2928+4464+614+2184</f>
        <v>27799</v>
      </c>
      <c r="H36" s="11">
        <v>36795</v>
      </c>
      <c r="I36" s="11">
        <v>70039</v>
      </c>
      <c r="J36" s="11"/>
      <c r="K36" s="11"/>
      <c r="L36" s="11">
        <f>5849+2431+2449+350</f>
        <v>11079</v>
      </c>
      <c r="M36" s="11">
        <f>5749+2816+1933+200</f>
        <v>10698</v>
      </c>
      <c r="N36" s="11">
        <f>6000+3000+2000+200</f>
        <v>11200</v>
      </c>
    </row>
    <row r="37" spans="1:14" ht="23.25">
      <c r="A37" s="26"/>
      <c r="B37" s="2" t="s">
        <v>30</v>
      </c>
      <c r="C37" s="9"/>
      <c r="D37" s="49">
        <v>21700</v>
      </c>
      <c r="E37" s="49">
        <f>342+4529+60+-(76)+312+277</f>
        <v>5444</v>
      </c>
      <c r="F37" s="49"/>
      <c r="G37" s="11">
        <f>6135+10943+28+2089+541+17668+9362-80</f>
        <v>46686</v>
      </c>
      <c r="H37" s="11">
        <v>50656</v>
      </c>
      <c r="I37" s="11">
        <v>15288</v>
      </c>
      <c r="J37" s="11"/>
      <c r="K37" s="11"/>
      <c r="L37" s="11">
        <v>6359</v>
      </c>
      <c r="M37" s="11">
        <v>6974</v>
      </c>
      <c r="N37" s="11">
        <v>10500</v>
      </c>
    </row>
    <row r="38" spans="1:14" ht="23.25">
      <c r="A38" s="26"/>
      <c r="B38" s="2" t="s">
        <v>11</v>
      </c>
      <c r="C38" s="9"/>
      <c r="D38" s="11">
        <v>4000</v>
      </c>
      <c r="E38" s="11">
        <v>0</v>
      </c>
      <c r="F38" s="11"/>
      <c r="G38" s="11">
        <v>3854</v>
      </c>
      <c r="H38" s="11">
        <v>2854</v>
      </c>
      <c r="I38" s="11">
        <v>2958</v>
      </c>
      <c r="J38" s="11"/>
      <c r="K38" s="11"/>
      <c r="L38" s="11">
        <v>2859</v>
      </c>
      <c r="M38" s="11">
        <v>3692</v>
      </c>
      <c r="N38" s="11">
        <v>4200</v>
      </c>
    </row>
    <row r="39" spans="1:14" ht="23.25">
      <c r="A39" s="26"/>
      <c r="B39" s="2" t="s">
        <v>50</v>
      </c>
      <c r="C39" s="9"/>
      <c r="D39" s="11">
        <v>0</v>
      </c>
      <c r="E39" s="11">
        <v>0</v>
      </c>
      <c r="F39" s="11"/>
      <c r="G39" s="11">
        <v>12102</v>
      </c>
      <c r="H39" s="11">
        <v>0</v>
      </c>
      <c r="I39" s="11">
        <v>0</v>
      </c>
      <c r="J39" s="11"/>
      <c r="K39" s="11"/>
      <c r="L39" s="11"/>
      <c r="M39" s="11"/>
      <c r="N39" s="11"/>
    </row>
    <row r="40" spans="1:14" ht="23.25">
      <c r="A40" s="26"/>
      <c r="B40" s="2" t="s">
        <v>5</v>
      </c>
      <c r="C40" s="9"/>
      <c r="D40" s="50">
        <v>50200</v>
      </c>
      <c r="E40" s="50">
        <f>272.48+400+641+608+468+5975+625+1192+292+802+125+255+288</f>
        <v>11943.48</v>
      </c>
      <c r="F40" s="50"/>
      <c r="G40" s="15">
        <f>4000+2870+1109+7129+516+9797+2851+9839+740+3359+1060+510+3090</f>
        <v>46870</v>
      </c>
      <c r="H40" s="15">
        <v>34325</v>
      </c>
      <c r="I40" s="15">
        <v>41054</v>
      </c>
      <c r="J40" s="27"/>
      <c r="K40" s="27"/>
      <c r="L40" s="15">
        <f>122+0+2342+0+5250+0+2311</f>
        <v>10025</v>
      </c>
      <c r="M40" s="15">
        <v>10993</v>
      </c>
      <c r="N40" s="15">
        <f>600+1500+7500+600+2500</f>
        <v>12700</v>
      </c>
    </row>
    <row r="41" spans="1:14" ht="23.25">
      <c r="A41" s="26"/>
      <c r="B41" s="28" t="s">
        <v>19</v>
      </c>
      <c r="C41" s="9"/>
      <c r="D41" s="29">
        <f>SUM(D32:D40)</f>
        <v>987000</v>
      </c>
      <c r="E41" s="29">
        <f>SUM(E32:E40)</f>
        <v>443213.72000000003</v>
      </c>
      <c r="F41" s="29"/>
      <c r="G41" s="29">
        <f>SUM(G32:G40)</f>
        <v>890799</v>
      </c>
      <c r="H41" s="29">
        <f>SUM(H32:H40)</f>
        <v>890836</v>
      </c>
      <c r="I41" s="29">
        <f>SUM(I32:I40)</f>
        <v>902552</v>
      </c>
      <c r="J41" s="10"/>
      <c r="K41" s="10"/>
      <c r="L41" s="10">
        <f>SUM(L32:L40)</f>
        <v>438234</v>
      </c>
      <c r="M41" s="10">
        <f>SUM(M32:M40)</f>
        <v>416205</v>
      </c>
      <c r="N41" s="11">
        <f>SUM(N32:N40)</f>
        <v>444000</v>
      </c>
    </row>
    <row r="42" spans="1:14" ht="23.25">
      <c r="A42" s="26"/>
      <c r="B42" s="1" t="s">
        <v>20</v>
      </c>
      <c r="C42" s="9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1"/>
    </row>
    <row r="43" spans="1:14" ht="23.25">
      <c r="A43" s="26"/>
      <c r="B43" s="3" t="s">
        <v>34</v>
      </c>
      <c r="C43" s="9"/>
      <c r="D43" s="10">
        <v>78000</v>
      </c>
      <c r="E43" s="10">
        <v>0</v>
      </c>
      <c r="F43" s="10"/>
      <c r="G43" s="10">
        <v>446222</v>
      </c>
      <c r="H43" s="10">
        <v>264103</v>
      </c>
      <c r="I43" s="10">
        <v>70753</v>
      </c>
      <c r="J43" s="10"/>
      <c r="K43" s="10"/>
      <c r="L43" s="10"/>
      <c r="M43" s="10"/>
      <c r="N43" s="11"/>
    </row>
    <row r="44" spans="1:14" ht="23.25">
      <c r="A44" s="26"/>
      <c r="B44" s="3" t="s">
        <v>41</v>
      </c>
      <c r="C44" s="9"/>
      <c r="D44" s="30">
        <v>50000</v>
      </c>
      <c r="E44" s="30"/>
      <c r="F44" s="30"/>
      <c r="G44" s="30">
        <f>60976+559.97+2823.75+48007.99+1479+3639.03+17536.63+1287.9+9.49+117.11+55.16+95.4+39.95-11.6+309.94+79.44+4500+29997.91+1200+500+250+25.4</f>
        <v>173478.46999999997</v>
      </c>
      <c r="H44" s="30">
        <v>0</v>
      </c>
      <c r="I44" s="30">
        <v>0</v>
      </c>
      <c r="J44" s="10"/>
      <c r="K44" s="10"/>
      <c r="L44" s="10"/>
      <c r="M44" s="10"/>
      <c r="N44" s="11"/>
    </row>
    <row r="45" spans="1:14" ht="23.25">
      <c r="A45" s="26"/>
      <c r="B45" s="3" t="s">
        <v>52</v>
      </c>
      <c r="C45" s="9"/>
      <c r="D45" s="30"/>
      <c r="E45" s="30"/>
      <c r="F45" s="30"/>
      <c r="G45" s="30"/>
      <c r="H45" s="30"/>
      <c r="I45" s="30"/>
      <c r="J45" s="10"/>
      <c r="K45" s="10"/>
      <c r="L45" s="10"/>
      <c r="M45" s="10"/>
      <c r="N45" s="11"/>
    </row>
    <row r="46" spans="1:14" ht="23.25">
      <c r="A46" s="26"/>
      <c r="B46" s="3" t="s">
        <v>51</v>
      </c>
      <c r="C46" s="9"/>
      <c r="D46" s="31"/>
      <c r="E46" s="31"/>
      <c r="F46" s="31"/>
      <c r="G46" s="31">
        <v>244900</v>
      </c>
      <c r="H46" s="31"/>
      <c r="I46" s="31">
        <v>1023</v>
      </c>
      <c r="J46" s="10"/>
      <c r="K46" s="10"/>
      <c r="L46" s="10"/>
      <c r="M46" s="10"/>
      <c r="N46" s="11"/>
    </row>
    <row r="47" spans="1:14" ht="23.25">
      <c r="A47" s="26"/>
      <c r="B47" s="28" t="s">
        <v>21</v>
      </c>
      <c r="C47" s="9"/>
      <c r="D47" s="32">
        <f>SUM(D43:D46)</f>
        <v>128000</v>
      </c>
      <c r="E47" s="32">
        <f>SUM(E43:E46)</f>
        <v>0</v>
      </c>
      <c r="F47" s="32"/>
      <c r="G47" s="32">
        <f>SUM(G43:G46)</f>
        <v>864600.47</v>
      </c>
      <c r="H47" s="32">
        <f>SUM(H43:H46)</f>
        <v>264103</v>
      </c>
      <c r="I47" s="32">
        <f>SUM(I43:I46)</f>
        <v>71776</v>
      </c>
      <c r="J47" s="11"/>
      <c r="K47" s="11"/>
      <c r="L47" s="11"/>
      <c r="M47" s="11"/>
      <c r="N47" s="11"/>
    </row>
    <row r="48" spans="1:14" ht="23.25">
      <c r="A48" s="3"/>
      <c r="C48" s="19"/>
      <c r="D48" s="20"/>
      <c r="E48" s="20"/>
      <c r="F48" s="20"/>
      <c r="G48" s="20"/>
      <c r="H48" s="20"/>
      <c r="I48" s="20"/>
      <c r="J48" s="20"/>
      <c r="K48" s="20"/>
      <c r="M48" s="20"/>
      <c r="N48" s="20"/>
    </row>
    <row r="49" spans="1:14" ht="23.25">
      <c r="A49" s="3"/>
      <c r="B49" s="2" t="s">
        <v>22</v>
      </c>
      <c r="C49" s="19"/>
      <c r="D49" s="33">
        <f>D41+D47</f>
        <v>1115000</v>
      </c>
      <c r="E49" s="33">
        <f>E41+E47</f>
        <v>443213.72000000003</v>
      </c>
      <c r="F49" s="33"/>
      <c r="G49" s="33">
        <f>G41+G47</f>
        <v>1755399.47</v>
      </c>
      <c r="H49" s="33">
        <f>H41+H47</f>
        <v>1154939</v>
      </c>
      <c r="I49" s="33">
        <f>I41+I47</f>
        <v>974328</v>
      </c>
      <c r="J49" s="20"/>
      <c r="K49" s="20"/>
      <c r="M49" s="20"/>
      <c r="N49" s="20"/>
    </row>
    <row r="50" spans="1:14" ht="23.25">
      <c r="A50" s="3"/>
      <c r="C50" s="19"/>
      <c r="D50" s="34"/>
      <c r="E50" s="34"/>
      <c r="F50" s="34"/>
      <c r="G50" s="34"/>
      <c r="H50" s="34"/>
      <c r="I50" s="34"/>
      <c r="J50" s="20"/>
      <c r="K50" s="20"/>
      <c r="M50" s="20"/>
      <c r="N50" s="20"/>
    </row>
    <row r="51" spans="1:14" ht="23.25">
      <c r="A51" s="3"/>
      <c r="C51" s="19"/>
      <c r="D51" s="20"/>
      <c r="E51" s="20"/>
      <c r="F51" s="20"/>
      <c r="G51" s="20"/>
      <c r="H51" s="20"/>
      <c r="I51" s="20"/>
      <c r="J51" s="20"/>
      <c r="K51" s="20"/>
      <c r="M51" s="20"/>
      <c r="N51" s="20"/>
    </row>
    <row r="52" spans="1:14" ht="24" thickBot="1">
      <c r="A52" s="23" t="s">
        <v>23</v>
      </c>
      <c r="C52" s="9"/>
      <c r="D52" s="35">
        <f>D22-D49</f>
        <v>758000</v>
      </c>
      <c r="E52" s="35">
        <f>E22-E49</f>
        <v>617192.81</v>
      </c>
      <c r="F52" s="35"/>
      <c r="G52" s="35">
        <f>G22-G49</f>
        <v>-390578.47</v>
      </c>
      <c r="H52" s="35">
        <f>H22-H49</f>
        <v>188233</v>
      </c>
      <c r="I52" s="35">
        <f>I22-I49</f>
        <v>146344</v>
      </c>
      <c r="J52" s="36"/>
      <c r="K52" s="36"/>
      <c r="L52" s="35">
        <f>L22-L41</f>
        <v>-1537</v>
      </c>
      <c r="M52" s="35">
        <f>M22-M41</f>
        <v>-9187</v>
      </c>
      <c r="N52" s="37">
        <f>N22-N41</f>
        <v>-28000</v>
      </c>
    </row>
    <row r="53" spans="3:14" ht="24" thickTop="1">
      <c r="C53" s="19"/>
      <c r="D53" s="19"/>
      <c r="E53" s="19"/>
      <c r="F53" s="19"/>
      <c r="G53" s="19"/>
      <c r="H53" s="19"/>
      <c r="I53" s="19"/>
      <c r="J53" s="20"/>
      <c r="K53" s="20"/>
      <c r="M53" s="20"/>
      <c r="N53" s="20"/>
    </row>
    <row r="54" spans="3:14" ht="23.25">
      <c r="C54" s="19"/>
      <c r="D54" s="19"/>
      <c r="E54" s="19"/>
      <c r="F54" s="19"/>
      <c r="G54" s="19"/>
      <c r="H54" s="19"/>
      <c r="I54" s="19"/>
      <c r="J54" s="19"/>
      <c r="K54" s="19"/>
      <c r="M54" s="20"/>
      <c r="N54" s="20"/>
    </row>
    <row r="55" spans="13:14" ht="23.25">
      <c r="M55" s="20"/>
      <c r="N55" s="20"/>
    </row>
    <row r="56" spans="13:14" ht="23.25">
      <c r="M56" s="20"/>
      <c r="N56" s="20"/>
    </row>
    <row r="57" spans="13:14" ht="23.25">
      <c r="M57" s="20"/>
      <c r="N57" s="20"/>
    </row>
    <row r="58" ht="23.25">
      <c r="N58" s="20"/>
    </row>
    <row r="59" ht="23.25">
      <c r="N59" s="20"/>
    </row>
    <row r="60" ht="23.25">
      <c r="N60" s="20"/>
    </row>
    <row r="61" ht="23.25">
      <c r="N61" s="20"/>
    </row>
    <row r="62" spans="2:21" ht="23.25"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6"/>
      <c r="O62" s="45"/>
      <c r="P62" s="45"/>
      <c r="Q62" s="45"/>
      <c r="R62" s="45"/>
      <c r="S62" s="45"/>
      <c r="T62" s="45"/>
      <c r="U62" s="45"/>
    </row>
    <row r="63" spans="2:21" ht="23.25"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6"/>
      <c r="O63" s="45"/>
      <c r="P63" s="45"/>
      <c r="Q63" s="45"/>
      <c r="R63" s="45"/>
      <c r="S63" s="45"/>
      <c r="T63" s="45"/>
      <c r="U63" s="45"/>
    </row>
    <row r="64" spans="2:21" ht="23.25">
      <c r="B64" s="47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</row>
    <row r="65" spans="2:21" ht="23.25">
      <c r="B65" s="47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</row>
    <row r="66" spans="2:21" ht="23.25">
      <c r="B66" s="47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</row>
    <row r="67" ht="23.25">
      <c r="A67" s="38"/>
    </row>
    <row r="68" ht="23.25">
      <c r="A68" s="39"/>
    </row>
    <row r="69" ht="23.25">
      <c r="A69" s="39"/>
    </row>
    <row r="70" spans="1:2" ht="26.25">
      <c r="A70" s="38"/>
      <c r="B70" s="43"/>
    </row>
    <row r="71" ht="23.25">
      <c r="A71" s="38"/>
    </row>
    <row r="72" spans="2:8" ht="23.25">
      <c r="B72" s="40"/>
      <c r="C72" s="5"/>
      <c r="H72" s="5"/>
    </row>
    <row r="73" spans="2:9" ht="23.25">
      <c r="B73" s="41"/>
      <c r="C73" s="5"/>
      <c r="D73" s="5"/>
      <c r="E73" s="5"/>
      <c r="F73" s="5"/>
      <c r="G73" s="5"/>
      <c r="H73" s="5"/>
      <c r="I73" s="5"/>
    </row>
    <row r="76" ht="26.25">
      <c r="B76" s="43"/>
    </row>
    <row r="77" spans="4:9" ht="23.25">
      <c r="D77" s="5"/>
      <c r="E77" s="5"/>
      <c r="F77" s="5"/>
      <c r="G77" s="5"/>
      <c r="H77" s="5"/>
      <c r="I77" s="5"/>
    </row>
    <row r="78" spans="2:3" ht="23.25">
      <c r="B78" s="42"/>
      <c r="C78" s="5"/>
    </row>
    <row r="81" ht="23.25">
      <c r="B81" s="44"/>
    </row>
    <row r="82" ht="26.25">
      <c r="B82" s="43"/>
    </row>
    <row r="84" ht="23.25">
      <c r="B84" s="42"/>
    </row>
  </sheetData>
  <sheetProtection/>
  <printOptions/>
  <pageMargins left="0.7" right="0.7" top="0.75" bottom="0.75" header="0.3" footer="0.3"/>
  <pageSetup horizontalDpi="600" verticalDpi="600" orientation="portrait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</dc:creator>
  <cp:keywords/>
  <dc:description/>
  <cp:lastModifiedBy>Katie</cp:lastModifiedBy>
  <cp:lastPrinted>2017-12-13T23:30:46Z</cp:lastPrinted>
  <dcterms:created xsi:type="dcterms:W3CDTF">1999-04-24T19:10:06Z</dcterms:created>
  <dcterms:modified xsi:type="dcterms:W3CDTF">2021-03-23T18:02:17Z</dcterms:modified>
  <cp:category/>
  <cp:version/>
  <cp:contentType/>
  <cp:contentStatus/>
</cp:coreProperties>
</file>